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LP-Resources" sheetId="1" r:id="rId5"/>
  </sheets>
  <definedNames/>
  <calcPr/>
</workbook>
</file>

<file path=xl/sharedStrings.xml><?xml version="1.0" encoding="utf-8"?>
<sst xmlns="http://schemas.openxmlformats.org/spreadsheetml/2006/main" count="91" uniqueCount="79">
  <si>
    <t>FLIP</t>
  </si>
  <si>
    <t>RENTAL</t>
  </si>
  <si>
    <t xml:space="preserve">Input text into "Gold" Highlighted Areas </t>
  </si>
  <si>
    <t>Address (Project Name)</t>
  </si>
  <si>
    <t>Input Property Address</t>
  </si>
  <si>
    <t>Square Footage</t>
  </si>
  <si>
    <t xml:space="preserve">Misc: </t>
  </si>
  <si>
    <t xml:space="preserve">Bedrooms: </t>
  </si>
  <si>
    <t>Bathrooms:</t>
  </si>
  <si>
    <t xml:space="preserve">Lot Size: </t>
  </si>
  <si>
    <t>Property Value (ARV)</t>
  </si>
  <si>
    <t>Price per sf</t>
  </si>
  <si>
    <t>Purchase Price</t>
  </si>
  <si>
    <t>Total Loan Amount</t>
  </si>
  <si>
    <t>Rehab</t>
  </si>
  <si>
    <t>Rehab cost per sf</t>
  </si>
  <si>
    <t>Monthly Rent (assumes 0.80% rule)</t>
  </si>
  <si>
    <t>Acquisition Cost (Marketing/Assignment Fee)</t>
  </si>
  <si>
    <t>Input any additional acquisitions cost for this deal:</t>
  </si>
  <si>
    <t>Loan Interest Rate</t>
  </si>
  <si>
    <t>Loan Amount</t>
  </si>
  <si>
    <t>*Adjust if Loan Amount is -/+:</t>
  </si>
  <si>
    <t>Loan Term (Years)</t>
  </si>
  <si>
    <t>LTV (Purchase Price + Repairs)</t>
  </si>
  <si>
    <t>Payments per Year</t>
  </si>
  <si>
    <r>
      <rPr>
        <rFont val="Arial Narrow"/>
        <color rgb="FF000000"/>
        <sz val="11.0"/>
      </rPr>
      <t>Loan (monthly payment) (</t>
    </r>
    <r>
      <rPr>
        <rFont val="Arial Narrow"/>
        <i/>
        <color rgb="FF000000"/>
        <sz val="11.0"/>
      </rPr>
      <t>*assumes Int only loan)</t>
    </r>
  </si>
  <si>
    <t>Adjust if needed:</t>
  </si>
  <si>
    <t>Mortgage Payment</t>
  </si>
  <si>
    <t>Origination Points</t>
  </si>
  <si>
    <t>Insurance (Monthly)</t>
  </si>
  <si>
    <t>Insurance (monthly)</t>
  </si>
  <si>
    <t>Taxes (Monthly)</t>
  </si>
  <si>
    <t>Taxes (monthly)</t>
  </si>
  <si>
    <t>Property Manangement Cost (Monthly)</t>
  </si>
  <si>
    <t>Misc. (utilities, maintenance)</t>
  </si>
  <si>
    <t>HOA Cost (Monthly)</t>
  </si>
  <si>
    <t>Closing Costs (buy)</t>
  </si>
  <si>
    <t>Exterior Care (lawn/pool) (Monthly)</t>
  </si>
  <si>
    <t>Closing Costs (sell)</t>
  </si>
  <si>
    <t>Misc</t>
  </si>
  <si>
    <t>Realtors Commission</t>
  </si>
  <si>
    <t>Total Commission Rate:</t>
  </si>
  <si>
    <t>Monthly Cash Flow</t>
  </si>
  <si>
    <t>*Realtors Commission is using a Standard 6% Listing/Commission paid to the Realtors, adjust rate accordingly.</t>
  </si>
  <si>
    <t>Annual Cash Flow</t>
  </si>
  <si>
    <t>If you are using a flat fee listing, you can reduce your closing costs by 3% off the total sales price</t>
  </si>
  <si>
    <t>Equity Capture</t>
  </si>
  <si>
    <t>Total Costs WITHOUT Any Holding Costs:</t>
  </si>
  <si>
    <t>Equity Capture %</t>
  </si>
  <si>
    <t>ROI</t>
  </si>
  <si>
    <t>FLIP GROSS PROFIT</t>
  </si>
  <si>
    <t>Consider RENTAL option when cash-flow is above $250 per month &amp; equity capture is above $50,000</t>
  </si>
  <si>
    <t>Net Profit Based Duration</t>
  </si>
  <si>
    <t>Or, adjust this criteria to meet/exceed your personal wealth, tax strategy and income goals</t>
  </si>
  <si>
    <t>Assume 1-3 months for Construction + 2-4 months to market, sell and close on property (7 months average)</t>
  </si>
  <si>
    <t>ROI CALCULATIONS</t>
  </si>
  <si>
    <t>HOLDING TIME</t>
  </si>
  <si>
    <t>Holding Costs</t>
  </si>
  <si>
    <t>Net Profit</t>
  </si>
  <si>
    <t>Total Out of Pocket Cash In the Deal:</t>
  </si>
  <si>
    <t>2 months</t>
  </si>
  <si>
    <t>Cash-on-Cash Return %</t>
  </si>
  <si>
    <t>3 months</t>
  </si>
  <si>
    <t>Instant Equity Return %</t>
  </si>
  <si>
    <t>4 months</t>
  </si>
  <si>
    <t>Year-1 Principal Paydown (12 months)</t>
  </si>
  <si>
    <t>5 months</t>
  </si>
  <si>
    <t>Total Year-1 Return ($)</t>
  </si>
  <si>
    <r>
      <rPr>
        <rFont val="Arial Narrow"/>
        <b/>
        <color rgb="FF000000"/>
        <sz val="11.0"/>
      </rPr>
      <t xml:space="preserve">6 months </t>
    </r>
    <r>
      <rPr>
        <rFont val="Arial Narrow"/>
        <b/>
        <color rgb="FF000000"/>
        <sz val="5.0"/>
      </rPr>
      <t xml:space="preserve">
</t>
    </r>
    <r>
      <rPr>
        <rFont val="Arial Narrow"/>
        <b/>
        <i/>
        <color rgb="FF000000"/>
        <sz val="9.0"/>
      </rPr>
      <t>(avg timeframe to sell)</t>
    </r>
  </si>
  <si>
    <t>7 months</t>
  </si>
  <si>
    <t>8 months</t>
  </si>
  <si>
    <t>9 months</t>
  </si>
  <si>
    <t>10 months</t>
  </si>
  <si>
    <t>11 months</t>
  </si>
  <si>
    <t>12 months</t>
  </si>
  <si>
    <t>KEY INDICATORS OF A DEAL:</t>
  </si>
  <si>
    <t>1. Break even/minor profit after holding for 12 months</t>
  </si>
  <si>
    <t>2. ROI will be more than 15% at 6 month mark</t>
  </si>
  <si>
    <t>3. 6 month profit will be 50% or greater than the Rehab Cost: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</si>
</sst>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&quot;$&quot;#,##0.00"/>
    <numFmt numFmtId="165" formatCode="&quot;$&quot;#,##0"/>
    <numFmt numFmtId="166" formatCode="#,##0%"/>
  </numFmts>
  <fonts count="16">
    <font>
      <sz val="10.0"/>
      <color rgb="FF000000"/>
      <name val="Arial"/>
      <scheme val="minor"/>
    </font>
    <font>
      <sz val="16.0"/>
      <color rgb="FFF1C232"/>
      <name val="Calibri"/>
    </font>
    <font/>
    <font>
      <i/>
      <sz val="10.0"/>
      <color rgb="FFFFD966"/>
      <name val="Arial Narrow"/>
    </font>
    <font>
      <sz val="7.0"/>
      <color rgb="FF000000"/>
      <name val="Calibri"/>
    </font>
    <font>
      <b/>
      <sz val="11.0"/>
      <color rgb="FF000000"/>
      <name val="Arial Narrow"/>
    </font>
    <font>
      <b/>
      <sz val="11.0"/>
      <color rgb="FF000000"/>
      <name val="&quot;Arial Narrow&quot;"/>
    </font>
    <font>
      <b/>
      <sz val="11.0"/>
      <color rgb="FF000000"/>
      <name val="Calibri"/>
    </font>
    <font>
      <sz val="11.0"/>
      <color rgb="FF000000"/>
      <name val="&quot;Arial Narrow&quot;"/>
    </font>
    <font>
      <sz val="11.0"/>
      <color rgb="FF000000"/>
      <name val="Calibri"/>
    </font>
    <font>
      <sz val="11.0"/>
      <color rgb="FF000000"/>
      <name val="Arial"/>
    </font>
    <font>
      <sz val="11.0"/>
      <color rgb="FF000000"/>
      <name val="Arial Narrow"/>
    </font>
    <font>
      <i/>
      <sz val="11.0"/>
      <color rgb="FF000000"/>
      <name val="Arial Narrow"/>
    </font>
    <font>
      <sz val="10.0"/>
      <color rgb="FF000000"/>
      <name val="Arial Narrow"/>
    </font>
    <font>
      <sz val="8.0"/>
      <color rgb="FFFFD966"/>
      <name val="Calibri"/>
    </font>
    <font>
      <sz val="14.0"/>
      <color rgb="FFFFD966"/>
      <name val="Calibri"/>
    </font>
  </fonts>
  <fills count="14">
    <fill>
      <patternFill patternType="none"/>
    </fill>
    <fill>
      <patternFill patternType="lightGray"/>
    </fill>
    <fill>
      <patternFill patternType="solid">
        <fgColor rgb="FF000000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rgb="FFFFD966"/>
        <bgColor rgb="FFFFD966"/>
      </patternFill>
    </fill>
    <fill>
      <patternFill patternType="solid">
        <fgColor rgb="FFF3F3F3"/>
        <bgColor rgb="FFF3F3F3"/>
      </patternFill>
    </fill>
    <fill>
      <patternFill patternType="solid">
        <fgColor rgb="FFCCCCCC"/>
        <bgColor rgb="FFCCCCCC"/>
      </patternFill>
    </fill>
    <fill>
      <patternFill patternType="solid">
        <fgColor rgb="FFD9EAD3"/>
        <bgColor rgb="FFD9EAD3"/>
      </patternFill>
    </fill>
    <fill>
      <patternFill patternType="solid">
        <fgColor rgb="FFD8D8D8"/>
        <bgColor rgb="FFD8D8D8"/>
      </patternFill>
    </fill>
    <fill>
      <patternFill patternType="solid">
        <fgColor rgb="FFCCFFCC"/>
        <bgColor rgb="FFCCFFCC"/>
      </patternFill>
    </fill>
    <fill>
      <patternFill patternType="solid">
        <fgColor rgb="FF00FF00"/>
        <bgColor rgb="FF00FF00"/>
      </patternFill>
    </fill>
    <fill>
      <patternFill patternType="solid">
        <fgColor rgb="FFD9D9D9"/>
        <bgColor rgb="FFD9D9D9"/>
      </patternFill>
    </fill>
    <fill>
      <patternFill patternType="solid">
        <fgColor rgb="FFEFEFEF"/>
        <bgColor rgb="FFEFEFEF"/>
      </patternFill>
    </fill>
    <fill>
      <patternFill patternType="solid">
        <fgColor rgb="FFD5D5D5"/>
        <bgColor rgb="FFD5D5D5"/>
      </patternFill>
    </fill>
  </fills>
  <borders count="12">
    <border/>
    <border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/>
    </border>
  </borders>
  <cellStyleXfs count="1">
    <xf borderId="0" fillId="0" fontId="0" numFmtId="0" applyAlignment="1" applyFont="1"/>
  </cellStyleXfs>
  <cellXfs count="82">
    <xf borderId="0" fillId="0" fontId="0" numFmtId="0" xfId="0" applyAlignment="1" applyFont="1">
      <alignment readingOrder="0" shrinkToFit="0" vertical="bottom" wrapText="0"/>
    </xf>
    <xf borderId="1" fillId="2" fontId="1" numFmtId="49" xfId="0" applyAlignment="1" applyBorder="1" applyFill="1" applyFont="1" applyNumberFormat="1">
      <alignment horizontal="center" readingOrder="0" shrinkToFit="0" vertical="center" wrapText="1"/>
    </xf>
    <xf borderId="1" fillId="0" fontId="2" numFmtId="0" xfId="0" applyBorder="1" applyFont="1"/>
    <xf borderId="2" fillId="2" fontId="3" numFmtId="49" xfId="0" applyAlignment="1" applyBorder="1" applyFont="1" applyNumberFormat="1">
      <alignment horizontal="center" readingOrder="0" shrinkToFit="0" vertical="center" wrapText="1"/>
    </xf>
    <xf borderId="3" fillId="0" fontId="2" numFmtId="0" xfId="0" applyBorder="1" applyFont="1"/>
    <xf borderId="4" fillId="2" fontId="4" numFmtId="0" xfId="0" applyAlignment="1" applyBorder="1" applyFont="1">
      <alignment shrinkToFit="0" vertical="center" wrapText="1"/>
    </xf>
    <xf borderId="5" fillId="3" fontId="5" numFmtId="49" xfId="0" applyAlignment="1" applyBorder="1" applyFill="1" applyFont="1" applyNumberFormat="1">
      <alignment readingOrder="0" shrinkToFit="0" vertical="center" wrapText="1"/>
    </xf>
    <xf borderId="2" fillId="4" fontId="5" numFmtId="49" xfId="0" applyAlignment="1" applyBorder="1" applyFill="1" applyFont="1" applyNumberFormat="1">
      <alignment horizontal="center" readingOrder="0" shrinkToFit="0" vertical="center" wrapText="1"/>
    </xf>
    <xf borderId="6" fillId="0" fontId="2" numFmtId="0" xfId="0" applyBorder="1" applyFont="1"/>
    <xf borderId="5" fillId="5" fontId="5" numFmtId="49" xfId="0" applyAlignment="1" applyBorder="1" applyFill="1" applyFont="1" applyNumberFormat="1">
      <alignment horizontal="center" shrinkToFit="0" vertical="center" wrapText="1"/>
    </xf>
    <xf borderId="5" fillId="3" fontId="6" numFmtId="49" xfId="0" applyAlignment="1" applyBorder="1" applyFont="1" applyNumberFormat="1">
      <alignment readingOrder="0" shrinkToFit="0" vertical="center" wrapText="1"/>
    </xf>
    <xf borderId="1" fillId="4" fontId="6" numFmtId="3" xfId="0" applyAlignment="1" applyBorder="1" applyFont="1" applyNumberFormat="1">
      <alignment horizontal="center" readingOrder="0" shrinkToFit="0" vertical="center" wrapText="1"/>
    </xf>
    <xf borderId="5" fillId="3" fontId="5" numFmtId="49" xfId="0" applyAlignment="1" applyBorder="1" applyFont="1" applyNumberFormat="1">
      <alignment shrinkToFit="0" vertical="center" wrapText="1"/>
    </xf>
    <xf borderId="5" fillId="5" fontId="5" numFmtId="4" xfId="0" applyAlignment="1" applyBorder="1" applyFont="1" applyNumberFormat="1">
      <alignment horizontal="center" shrinkToFit="0" vertical="center" wrapText="1"/>
    </xf>
    <xf borderId="7" fillId="4" fontId="7" numFmtId="49" xfId="0" applyAlignment="1" applyBorder="1" applyFont="1" applyNumberFormat="1">
      <alignment horizontal="center" readingOrder="0" shrinkToFit="0" vertical="center" wrapText="1"/>
    </xf>
    <xf borderId="3" fillId="4" fontId="7" numFmtId="164" xfId="0" applyAlignment="1" applyBorder="1" applyFont="1" applyNumberFormat="1">
      <alignment horizontal="center" readingOrder="0" shrinkToFit="0" vertical="center" wrapText="1"/>
    </xf>
    <xf borderId="5" fillId="6" fontId="5" numFmtId="49" xfId="0" applyAlignment="1" applyBorder="1" applyFill="1" applyFont="1" applyNumberFormat="1">
      <alignment horizontal="center" readingOrder="0" shrinkToFit="0" vertical="center" wrapText="1"/>
    </xf>
    <xf borderId="8" fillId="3" fontId="8" numFmtId="49" xfId="0" applyAlignment="1" applyBorder="1" applyFont="1" applyNumberFormat="1">
      <alignment readingOrder="0" shrinkToFit="0" vertical="center" wrapText="1"/>
    </xf>
    <xf borderId="7" fillId="3" fontId="9" numFmtId="49" xfId="0" applyAlignment="1" applyBorder="1" applyFont="1" applyNumberFormat="1">
      <alignment horizontal="right" readingOrder="0" shrinkToFit="0" vertical="center" wrapText="1"/>
    </xf>
    <xf borderId="5" fillId="3" fontId="9" numFmtId="164" xfId="0" applyAlignment="1" applyBorder="1" applyFont="1" applyNumberFormat="1">
      <alignment horizontal="center" shrinkToFit="0" vertical="center" wrapText="1"/>
    </xf>
    <xf borderId="7" fillId="4" fontId="10" numFmtId="165" xfId="0" applyAlignment="1" applyBorder="1" applyFont="1" applyNumberFormat="1">
      <alignment horizontal="center" readingOrder="0" shrinkToFit="0" vertical="center" wrapText="1"/>
    </xf>
    <xf borderId="5" fillId="3" fontId="11" numFmtId="49" xfId="0" applyAlignment="1" applyBorder="1" applyFont="1" applyNumberFormat="1">
      <alignment shrinkToFit="0" vertical="center" wrapText="1"/>
    </xf>
    <xf borderId="5" fillId="5" fontId="11" numFmtId="165" xfId="0" applyAlignment="1" applyBorder="1" applyFont="1" applyNumberFormat="1">
      <alignment horizontal="center" shrinkToFit="0" vertical="center" wrapText="1"/>
    </xf>
    <xf borderId="5" fillId="5" fontId="11" numFmtId="165" xfId="0" applyAlignment="1" applyBorder="1" applyFont="1" applyNumberFormat="1">
      <alignment horizontal="center" readingOrder="0" shrinkToFit="0" vertical="center" wrapText="1"/>
    </xf>
    <xf borderId="5" fillId="3" fontId="9" numFmtId="49" xfId="0" applyAlignment="1" applyBorder="1" applyFont="1" applyNumberFormat="1">
      <alignment horizontal="right" shrinkToFit="0" vertical="center" wrapText="1"/>
    </xf>
    <xf borderId="5" fillId="3" fontId="11" numFmtId="49" xfId="0" applyAlignment="1" applyBorder="1" applyFont="1" applyNumberFormat="1">
      <alignment readingOrder="0" shrinkToFit="0" vertical="center" wrapText="1"/>
    </xf>
    <xf borderId="5" fillId="4" fontId="11" numFmtId="165" xfId="0" applyAlignment="1" applyBorder="1" applyFont="1" applyNumberFormat="1">
      <alignment horizontal="center" readingOrder="0" shrinkToFit="0" vertical="center" wrapText="1"/>
    </xf>
    <xf borderId="2" fillId="3" fontId="11" numFmtId="49" xfId="0" applyAlignment="1" applyBorder="1" applyFont="1" applyNumberFormat="1">
      <alignment horizontal="right" readingOrder="0" shrinkToFit="0" vertical="center" wrapText="1"/>
    </xf>
    <xf borderId="5" fillId="4" fontId="12" numFmtId="165" xfId="0" applyAlignment="1" applyBorder="1" applyFont="1" applyNumberFormat="1">
      <alignment horizontal="center" readingOrder="0" shrinkToFit="0" vertical="center" wrapText="1"/>
    </xf>
    <xf borderId="5" fillId="4" fontId="11" numFmtId="10" xfId="0" applyAlignment="1" applyBorder="1" applyFont="1" applyNumberFormat="1">
      <alignment horizontal="center" shrinkToFit="0" vertical="center" wrapText="1"/>
    </xf>
    <xf borderId="5" fillId="4" fontId="12" numFmtId="165" xfId="0" applyAlignment="1" applyBorder="1" applyFont="1" applyNumberFormat="1">
      <alignment horizontal="center" shrinkToFit="0" vertical="center" wrapText="1"/>
    </xf>
    <xf borderId="5" fillId="4" fontId="11" numFmtId="4" xfId="0" applyAlignment="1" applyBorder="1" applyFont="1" applyNumberFormat="1">
      <alignment horizontal="center" shrinkToFit="0" vertical="center" wrapText="1"/>
    </xf>
    <xf borderId="2" fillId="7" fontId="11" numFmtId="49" xfId="0" applyAlignment="1" applyBorder="1" applyFill="1" applyFont="1" applyNumberFormat="1">
      <alignment horizontal="right" shrinkToFit="0" vertical="center" wrapText="1"/>
    </xf>
    <xf borderId="5" fillId="7" fontId="11" numFmtId="9" xfId="0" applyAlignment="1" applyBorder="1" applyFont="1" applyNumberFormat="1">
      <alignment horizontal="center" shrinkToFit="0" vertical="center" wrapText="1"/>
    </xf>
    <xf borderId="5" fillId="5" fontId="11" numFmtId="4" xfId="0" applyAlignment="1" applyBorder="1" applyFont="1" applyNumberFormat="1">
      <alignment horizontal="center" shrinkToFit="0" vertical="center" wrapText="1"/>
    </xf>
    <xf borderId="2" fillId="3" fontId="11" numFmtId="49" xfId="0" applyAlignment="1" applyBorder="1" applyFont="1" applyNumberFormat="1">
      <alignment readingOrder="0" shrinkToFit="0" vertical="center" wrapText="1"/>
    </xf>
    <xf borderId="5" fillId="3" fontId="12" numFmtId="49" xfId="0" applyAlignment="1" applyBorder="1" applyFont="1" applyNumberFormat="1">
      <alignment horizontal="right" readingOrder="0" shrinkToFit="0" vertical="center" wrapText="1"/>
    </xf>
    <xf borderId="5" fillId="4" fontId="11" numFmtId="10" xfId="0" applyAlignment="1" applyBorder="1" applyFont="1" applyNumberFormat="1">
      <alignment horizontal="center" readingOrder="0" shrinkToFit="0" vertical="center" wrapText="1"/>
    </xf>
    <xf borderId="5" fillId="8" fontId="11" numFmtId="165" xfId="0" applyAlignment="1" applyBorder="1" applyFill="1" applyFont="1" applyNumberFormat="1">
      <alignment horizontal="center" shrinkToFit="0" vertical="center" wrapText="1"/>
    </xf>
    <xf borderId="5" fillId="5" fontId="5" numFmtId="164" xfId="0" applyAlignment="1" applyBorder="1" applyFont="1" applyNumberFormat="1">
      <alignment horizontal="center" shrinkToFit="0" vertical="center" wrapText="1"/>
    </xf>
    <xf borderId="5" fillId="5" fontId="11" numFmtId="165" xfId="0" applyAlignment="1" applyBorder="1" applyFont="1" applyNumberFormat="1">
      <alignment horizontal="center" readingOrder="0" shrinkToFit="0" vertical="center" wrapText="1"/>
    </xf>
    <xf borderId="5" fillId="4" fontId="9" numFmtId="10" xfId="0" applyAlignment="1" applyBorder="1" applyFont="1" applyNumberFormat="1">
      <alignment horizontal="center" readingOrder="0" shrinkToFit="0" vertical="center" wrapText="1"/>
    </xf>
    <xf borderId="5" fillId="4" fontId="11" numFmtId="165" xfId="0" applyAlignment="1" applyBorder="1" applyFont="1" applyNumberFormat="1">
      <alignment horizontal="center" shrinkToFit="0" vertical="center" wrapText="1"/>
    </xf>
    <xf borderId="5" fillId="3" fontId="13" numFmtId="49" xfId="0" applyAlignment="1" applyBorder="1" applyFont="1" applyNumberFormat="1">
      <alignment horizontal="right" shrinkToFit="0" vertical="center" wrapText="1"/>
    </xf>
    <xf borderId="5" fillId="9" fontId="5" numFmtId="49" xfId="0" applyAlignment="1" applyBorder="1" applyFill="1" applyFont="1" applyNumberFormat="1">
      <alignment shrinkToFit="0" vertical="center" wrapText="1"/>
    </xf>
    <xf borderId="5" fillId="10" fontId="5" numFmtId="164" xfId="0" applyAlignment="1" applyBorder="1" applyFill="1" applyFont="1" applyNumberFormat="1">
      <alignment horizontal="center" shrinkToFit="0" vertical="center" wrapText="1"/>
    </xf>
    <xf borderId="2" fillId="3" fontId="11" numFmtId="49" xfId="0" applyAlignment="1" applyBorder="1" applyFont="1" applyNumberFormat="1">
      <alignment readingOrder="0" shrinkToFit="0" vertical="center" wrapText="0"/>
    </xf>
    <xf borderId="5" fillId="9" fontId="5" numFmtId="164" xfId="0" applyAlignment="1" applyBorder="1" applyFont="1" applyNumberFormat="1">
      <alignment horizontal="center" shrinkToFit="0" vertical="center" wrapText="1"/>
    </xf>
    <xf borderId="2" fillId="3" fontId="11" numFmtId="49" xfId="0" applyAlignment="1" applyBorder="1" applyFont="1" applyNumberFormat="1">
      <alignment shrinkToFit="0" vertical="center" wrapText="0"/>
    </xf>
    <xf borderId="2" fillId="3" fontId="12" numFmtId="49" xfId="0" applyAlignment="1" applyBorder="1" applyFont="1" applyNumberFormat="1">
      <alignment horizontal="right" shrinkToFit="0" vertical="center" wrapText="1"/>
    </xf>
    <xf borderId="5" fillId="5" fontId="5" numFmtId="165" xfId="0" applyAlignment="1" applyBorder="1" applyFont="1" applyNumberFormat="1">
      <alignment horizontal="center" shrinkToFit="0" vertical="center" wrapText="1"/>
    </xf>
    <xf borderId="5" fillId="9" fontId="5" numFmtId="49" xfId="0" applyAlignment="1" applyBorder="1" applyFont="1" applyNumberFormat="1">
      <alignment readingOrder="0" shrinkToFit="0" vertical="center" wrapText="1"/>
    </xf>
    <xf borderId="5" fillId="9" fontId="5" numFmtId="10" xfId="0" applyAlignment="1" applyBorder="1" applyFont="1" applyNumberFormat="1">
      <alignment horizontal="center" shrinkToFit="0" vertical="center" wrapText="1"/>
    </xf>
    <xf borderId="2" fillId="9" fontId="5" numFmtId="49" xfId="0" applyAlignment="1" applyBorder="1" applyFont="1" applyNumberFormat="1">
      <alignment horizontal="right" readingOrder="0" shrinkToFit="0" vertical="center" wrapText="1"/>
    </xf>
    <xf borderId="2" fillId="9" fontId="5" numFmtId="10" xfId="0" applyAlignment="1" applyBorder="1" applyFont="1" applyNumberFormat="1">
      <alignment horizontal="center" readingOrder="0" shrinkToFit="0" vertical="center" wrapText="1"/>
    </xf>
    <xf borderId="2" fillId="9" fontId="5" numFmtId="49" xfId="0" applyAlignment="1" applyBorder="1" applyFont="1" applyNumberFormat="1">
      <alignment horizontal="right" shrinkToFit="0" vertical="center" wrapText="1"/>
    </xf>
    <xf borderId="5" fillId="9" fontId="5" numFmtId="165" xfId="0" applyAlignment="1" applyBorder="1" applyFont="1" applyNumberFormat="1">
      <alignment horizontal="center" shrinkToFit="0" vertical="center" wrapText="1"/>
    </xf>
    <xf borderId="9" fillId="2" fontId="14" numFmtId="49" xfId="0" applyAlignment="1" applyBorder="1" applyFont="1" applyNumberFormat="1">
      <alignment horizontal="center" readingOrder="0" shrinkToFit="0" vertical="center" wrapText="1"/>
    </xf>
    <xf borderId="10" fillId="0" fontId="2" numFmtId="0" xfId="0" applyBorder="1" applyFont="1"/>
    <xf borderId="2" fillId="7" fontId="5" numFmtId="49" xfId="0" applyAlignment="1" applyBorder="1" applyFont="1" applyNumberFormat="1">
      <alignment horizontal="center" shrinkToFit="0" vertical="center" wrapText="1"/>
    </xf>
    <xf borderId="2" fillId="11" fontId="5" numFmtId="49" xfId="0" applyAlignment="1" applyBorder="1" applyFill="1" applyFont="1" applyNumberFormat="1">
      <alignment horizontal="center" shrinkToFit="0" vertical="center" wrapText="1"/>
    </xf>
    <xf borderId="9" fillId="2" fontId="15" numFmtId="49" xfId="0" applyAlignment="1" applyBorder="1" applyFont="1" applyNumberFormat="1">
      <alignment horizontal="center" readingOrder="0" shrinkToFit="0" vertical="center" wrapText="1"/>
    </xf>
    <xf borderId="5" fillId="11" fontId="5" numFmtId="49" xfId="0" applyAlignment="1" applyBorder="1" applyFont="1" applyNumberFormat="1">
      <alignment horizontal="center" shrinkToFit="0" vertical="center" wrapText="1"/>
    </xf>
    <xf borderId="5" fillId="11" fontId="5" numFmtId="49" xfId="0" applyAlignment="1" applyBorder="1" applyFont="1" applyNumberFormat="1">
      <alignment horizontal="center" readingOrder="0" shrinkToFit="0" vertical="center" wrapText="1"/>
    </xf>
    <xf borderId="5" fillId="5" fontId="9" numFmtId="165" xfId="0" applyAlignment="1" applyBorder="1" applyFont="1" applyNumberFormat="1">
      <alignment readingOrder="0" shrinkToFit="0" vertical="center" wrapText="1"/>
    </xf>
    <xf borderId="5" fillId="12" fontId="9" numFmtId="165" xfId="0" applyAlignment="1" applyBorder="1" applyFill="1" applyFont="1" applyNumberFormat="1">
      <alignment horizontal="center" readingOrder="0" shrinkToFit="0" vertical="center" wrapText="1"/>
    </xf>
    <xf borderId="5" fillId="3" fontId="11" numFmtId="49" xfId="0" applyAlignment="1" applyBorder="1" applyFont="1" applyNumberFormat="1">
      <alignment horizontal="center" shrinkToFit="0" vertical="center" wrapText="1"/>
    </xf>
    <xf borderId="5" fillId="3" fontId="11" numFmtId="165" xfId="0" applyAlignment="1" applyBorder="1" applyFont="1" applyNumberFormat="1">
      <alignment horizontal="center" shrinkToFit="0" vertical="center" wrapText="1"/>
    </xf>
    <xf borderId="2" fillId="13" fontId="11" numFmtId="165" xfId="0" applyAlignment="1" applyBorder="1" applyFill="1" applyFont="1" applyNumberFormat="1">
      <alignment horizontal="center" shrinkToFit="0" vertical="center" wrapText="1"/>
    </xf>
    <xf borderId="2" fillId="3" fontId="5" numFmtId="10" xfId="0" applyAlignment="1" applyBorder="1" applyFont="1" applyNumberFormat="1">
      <alignment horizontal="center" readingOrder="0" shrinkToFit="0" vertical="center" wrapText="1"/>
    </xf>
    <xf borderId="5" fillId="12" fontId="9" numFmtId="10" xfId="0" applyAlignment="1" applyBorder="1" applyFont="1" applyNumberFormat="1">
      <alignment horizontal="center" readingOrder="0" shrinkToFit="0" vertical="center" wrapText="1"/>
    </xf>
    <xf borderId="5" fillId="5" fontId="9" numFmtId="10" xfId="0" applyAlignment="1" applyBorder="1" applyFont="1" applyNumberFormat="1">
      <alignment horizontal="center" shrinkToFit="0" vertical="center" wrapText="1"/>
    </xf>
    <xf borderId="5" fillId="5" fontId="9" numFmtId="165" xfId="0" applyAlignment="1" applyBorder="1" applyFont="1" applyNumberFormat="1">
      <alignment horizontal="center" shrinkToFit="0" vertical="center" wrapText="1"/>
    </xf>
    <xf borderId="5" fillId="3" fontId="11" numFmtId="49" xfId="0" applyAlignment="1" applyBorder="1" applyFont="1" applyNumberFormat="1">
      <alignment horizontal="center" readingOrder="0" shrinkToFit="0" vertical="center" wrapText="1"/>
    </xf>
    <xf borderId="2" fillId="11" fontId="11" numFmtId="165" xfId="0" applyAlignment="1" applyBorder="1" applyFont="1" applyNumberFormat="1">
      <alignment horizontal="center" shrinkToFit="0" vertical="center" wrapText="1"/>
    </xf>
    <xf borderId="0" fillId="5" fontId="9" numFmtId="165" xfId="0" applyAlignment="1" applyFont="1" applyNumberFormat="1">
      <alignment readingOrder="0" shrinkToFit="0" vertical="center" wrapText="1"/>
    </xf>
    <xf borderId="0" fillId="5" fontId="9" numFmtId="165" xfId="0" applyAlignment="1" applyFont="1" applyNumberFormat="1">
      <alignment shrinkToFit="0" vertical="center" wrapText="1"/>
    </xf>
    <xf borderId="2" fillId="11" fontId="5" numFmtId="49" xfId="0" applyAlignment="1" applyBorder="1" applyFont="1" applyNumberFormat="1">
      <alignment horizontal="left" readingOrder="0" shrinkToFit="0" vertical="center" wrapText="1"/>
    </xf>
    <xf borderId="2" fillId="3" fontId="11" numFmtId="49" xfId="0" applyAlignment="1" applyBorder="1" applyFont="1" applyNumberFormat="1">
      <alignment horizontal="left" readingOrder="0" shrinkToFit="0" vertical="center" wrapText="1"/>
    </xf>
    <xf borderId="2" fillId="3" fontId="5" numFmtId="165" xfId="0" applyAlignment="1" applyBorder="1" applyFont="1" applyNumberFormat="1">
      <alignment horizontal="center" shrinkToFit="0" vertical="center" wrapText="1"/>
    </xf>
    <xf borderId="2" fillId="3" fontId="5" numFmtId="166" xfId="0" applyAlignment="1" applyBorder="1" applyFont="1" applyNumberFormat="1">
      <alignment horizontal="center" shrinkToFit="0" vertical="center" wrapText="1"/>
    </xf>
    <xf borderId="11" fillId="0" fontId="2" numFmtId="0" xfId="0" applyBorder="1" applyFont="1"/>
  </cellXfs>
  <cellStyles count="1">
    <cellStyle xfId="0" name="Normal" builtinId="0"/>
  </cellStyles>
  <dxfs count="5">
    <dxf>
      <font/>
      <fill>
        <patternFill patternType="solid">
          <fgColor rgb="FF00FF00"/>
          <bgColor rgb="FF00FF00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F4C7C3"/>
          <bgColor rgb="FFF4C7C3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CCFFCC"/>
          <bgColor rgb="FFCCFFCC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 outlineLevelCol="1" outlineLevelRow="1"/>
  <cols>
    <col customWidth="1" min="1" max="1" width="34.0" outlineLevel="1"/>
    <col customWidth="1" min="2" max="2" width="20.75" outlineLevel="1"/>
    <col customWidth="1" min="3" max="3" width="19.88" outlineLevel="1"/>
    <col customWidth="1" min="4" max="4" width="24.25" outlineLevel="1"/>
    <col customWidth="1" min="5" max="5" width="6.25"/>
    <col customWidth="1" min="6" max="6" width="33.0" outlineLevel="1"/>
    <col customWidth="1" min="7" max="7" width="31.5" outlineLevel="1"/>
  </cols>
  <sheetData>
    <row r="1" ht="45.0" customHeight="1">
      <c r="A1" s="1" t="s">
        <v>0</v>
      </c>
      <c r="B1" s="2"/>
      <c r="C1" s="2"/>
      <c r="D1" s="2"/>
      <c r="E1" s="1" t="s">
        <v>1</v>
      </c>
      <c r="F1" s="2"/>
      <c r="G1" s="2"/>
    </row>
    <row r="2" ht="20.25" customHeight="1" outlineLevel="1">
      <c r="A2" s="3" t="s">
        <v>2</v>
      </c>
      <c r="B2" s="2"/>
      <c r="C2" s="2"/>
      <c r="D2" s="4"/>
      <c r="E2" s="5"/>
      <c r="F2" s="3" t="s">
        <v>2</v>
      </c>
      <c r="G2" s="4"/>
    </row>
    <row r="3" ht="19.5" customHeight="1" outlineLevel="1">
      <c r="A3" s="6" t="s">
        <v>3</v>
      </c>
      <c r="B3" s="7" t="s">
        <v>4</v>
      </c>
      <c r="C3" s="2"/>
      <c r="D3" s="4"/>
      <c r="E3" s="8"/>
      <c r="F3" s="6" t="s">
        <v>3</v>
      </c>
      <c r="G3" s="9" t="str">
        <f>(B3)</f>
        <v>Input Property Address</v>
      </c>
    </row>
    <row r="4" ht="19.5" customHeight="1" outlineLevel="1">
      <c r="A4" s="10" t="s">
        <v>5</v>
      </c>
      <c r="B4" s="11">
        <v>2000.0</v>
      </c>
      <c r="C4" s="2"/>
      <c r="D4" s="4"/>
      <c r="E4" s="8"/>
      <c r="F4" s="12" t="s">
        <v>5</v>
      </c>
      <c r="G4" s="13">
        <f>B4</f>
        <v>2000</v>
      </c>
    </row>
    <row r="5" ht="19.5" customHeight="1" outlineLevel="1">
      <c r="A5" s="10" t="s">
        <v>6</v>
      </c>
      <c r="B5" s="14" t="s">
        <v>7</v>
      </c>
      <c r="C5" s="14" t="s">
        <v>8</v>
      </c>
      <c r="D5" s="15" t="s">
        <v>9</v>
      </c>
      <c r="E5" s="8"/>
      <c r="F5" s="16"/>
      <c r="G5" s="16"/>
    </row>
    <row r="6" ht="19.5" customHeight="1" outlineLevel="1">
      <c r="A6" s="17" t="s">
        <v>10</v>
      </c>
      <c r="B6" s="18" t="s">
        <v>11</v>
      </c>
      <c r="C6" s="19">
        <f>SUM(D6/B4)</f>
        <v>150</v>
      </c>
      <c r="D6" s="20">
        <v>300000.0</v>
      </c>
      <c r="E6" s="8"/>
      <c r="F6" s="21" t="s">
        <v>10</v>
      </c>
      <c r="G6" s="22">
        <f>SUM(D6)</f>
        <v>300000</v>
      </c>
    </row>
    <row r="7" ht="19.5" customHeight="1" outlineLevel="1">
      <c r="A7" s="17" t="s">
        <v>12</v>
      </c>
      <c r="B7" s="18" t="s">
        <v>11</v>
      </c>
      <c r="C7" s="19">
        <f>SUM(D7/B4)</f>
        <v>75</v>
      </c>
      <c r="D7" s="20">
        <v>150000.0</v>
      </c>
      <c r="E7" s="8"/>
      <c r="F7" s="21" t="s">
        <v>13</v>
      </c>
      <c r="G7" s="23">
        <f>sum(D7:D8)</f>
        <v>225000</v>
      </c>
    </row>
    <row r="8" ht="19.5" customHeight="1" outlineLevel="1">
      <c r="A8" s="21" t="s">
        <v>14</v>
      </c>
      <c r="B8" s="24" t="s">
        <v>15</v>
      </c>
      <c r="C8" s="19">
        <f>SUM(D8/B4)</f>
        <v>37.5</v>
      </c>
      <c r="D8" s="20">
        <v>75000.0</v>
      </c>
      <c r="E8" s="8"/>
      <c r="F8" s="25" t="s">
        <v>16</v>
      </c>
      <c r="G8" s="26">
        <f>sum(G6*0.008)</f>
        <v>2400</v>
      </c>
    </row>
    <row r="9" ht="19.5" customHeight="1" outlineLevel="1">
      <c r="A9" s="25" t="s">
        <v>17</v>
      </c>
      <c r="B9" s="27" t="s">
        <v>18</v>
      </c>
      <c r="C9" s="4"/>
      <c r="D9" s="28">
        <v>0.0</v>
      </c>
      <c r="E9" s="8"/>
      <c r="F9" s="21" t="s">
        <v>19</v>
      </c>
      <c r="G9" s="29">
        <v>0.07</v>
      </c>
    </row>
    <row r="10" ht="19.5" customHeight="1" outlineLevel="1">
      <c r="A10" s="21" t="s">
        <v>20</v>
      </c>
      <c r="B10" s="27" t="s">
        <v>21</v>
      </c>
      <c r="C10" s="4"/>
      <c r="D10" s="30">
        <f>SUM(D7:D9)</f>
        <v>225000</v>
      </c>
      <c r="E10" s="8"/>
      <c r="F10" s="21" t="s">
        <v>22</v>
      </c>
      <c r="G10" s="31">
        <v>30.0</v>
      </c>
    </row>
    <row r="11" ht="19.5" customHeight="1" outlineLevel="1">
      <c r="A11" s="32" t="s">
        <v>23</v>
      </c>
      <c r="B11" s="2"/>
      <c r="C11" s="4"/>
      <c r="D11" s="33">
        <f>SUM((D10/D6))</f>
        <v>0.75</v>
      </c>
      <c r="E11" s="8"/>
      <c r="F11" s="21" t="s">
        <v>24</v>
      </c>
      <c r="G11" s="34">
        <v>12.0</v>
      </c>
    </row>
    <row r="12" ht="19.5" customHeight="1" outlineLevel="1">
      <c r="A12" s="35" t="s">
        <v>25</v>
      </c>
      <c r="B12" s="36" t="s">
        <v>26</v>
      </c>
      <c r="C12" s="37">
        <v>0.12</v>
      </c>
      <c r="D12" s="38">
        <f>SUM((D10*C12))/12</f>
        <v>2250</v>
      </c>
      <c r="E12" s="8"/>
      <c r="F12" s="21" t="s">
        <v>27</v>
      </c>
      <c r="G12" s="39">
        <f>PMT(G9/G11,G10*G11,-G7)</f>
        <v>1496.930614</v>
      </c>
    </row>
    <row r="13" ht="19.5" customHeight="1" outlineLevel="1">
      <c r="A13" s="35" t="s">
        <v>28</v>
      </c>
      <c r="B13" s="36" t="s">
        <v>26</v>
      </c>
      <c r="C13" s="37">
        <v>0.02</v>
      </c>
      <c r="D13" s="38">
        <f>SUM((D10*C13))</f>
        <v>4500</v>
      </c>
      <c r="E13" s="8"/>
      <c r="F13" s="21" t="s">
        <v>29</v>
      </c>
      <c r="G13" s="40">
        <f t="shared" ref="G13:G14" si="1">sum(D14)</f>
        <v>200</v>
      </c>
    </row>
    <row r="14" ht="19.5" customHeight="1" outlineLevel="1">
      <c r="A14" s="21" t="s">
        <v>30</v>
      </c>
      <c r="B14" s="36" t="s">
        <v>26</v>
      </c>
      <c r="C14" s="41">
        <v>0.008</v>
      </c>
      <c r="D14" s="38">
        <f>sum(D6*C14)/12</f>
        <v>200</v>
      </c>
      <c r="E14" s="8"/>
      <c r="F14" s="21" t="s">
        <v>31</v>
      </c>
      <c r="G14" s="22">
        <f t="shared" si="1"/>
        <v>562.5</v>
      </c>
    </row>
    <row r="15" ht="21.0" customHeight="1" outlineLevel="1">
      <c r="A15" s="25" t="s">
        <v>32</v>
      </c>
      <c r="B15" s="36" t="s">
        <v>26</v>
      </c>
      <c r="C15" s="41">
        <v>0.0225</v>
      </c>
      <c r="D15" s="38">
        <f>sum(D6*C15)/12</f>
        <v>562.5</v>
      </c>
      <c r="E15" s="8"/>
      <c r="F15" s="21" t="s">
        <v>33</v>
      </c>
      <c r="G15" s="42">
        <v>0.0</v>
      </c>
    </row>
    <row r="16" ht="19.5" customHeight="1" outlineLevel="1">
      <c r="A16" s="21" t="s">
        <v>34</v>
      </c>
      <c r="B16" s="36" t="s">
        <v>26</v>
      </c>
      <c r="C16" s="41">
        <v>0.01</v>
      </c>
      <c r="D16" s="38">
        <f>sum(D6*C16)/12</f>
        <v>250</v>
      </c>
      <c r="E16" s="8"/>
      <c r="F16" s="21" t="s">
        <v>35</v>
      </c>
      <c r="G16" s="42">
        <f>325/12</f>
        <v>27.08333333</v>
      </c>
    </row>
    <row r="17" ht="19.5" customHeight="1" outlineLevel="1">
      <c r="A17" s="21" t="s">
        <v>36</v>
      </c>
      <c r="B17" s="36" t="s">
        <v>26</v>
      </c>
      <c r="C17" s="41">
        <v>0.0125</v>
      </c>
      <c r="D17" s="38">
        <f>sum(D6*C17)</f>
        <v>3750</v>
      </c>
      <c r="E17" s="8"/>
      <c r="F17" s="21" t="s">
        <v>37</v>
      </c>
      <c r="G17" s="42">
        <v>0.0</v>
      </c>
    </row>
    <row r="18" ht="19.5" customHeight="1" outlineLevel="1">
      <c r="A18" s="21" t="s">
        <v>38</v>
      </c>
      <c r="B18" s="36" t="s">
        <v>26</v>
      </c>
      <c r="C18" s="41">
        <v>0.01</v>
      </c>
      <c r="D18" s="38">
        <f>sum(D6*C18)</f>
        <v>3000</v>
      </c>
      <c r="E18" s="8"/>
      <c r="F18" s="21" t="s">
        <v>39</v>
      </c>
      <c r="G18" s="42">
        <v>0.0</v>
      </c>
    </row>
    <row r="19" ht="19.5" customHeight="1" outlineLevel="1">
      <c r="A19" s="21" t="s">
        <v>40</v>
      </c>
      <c r="B19" s="43" t="s">
        <v>41</v>
      </c>
      <c r="C19" s="37">
        <v>0.02</v>
      </c>
      <c r="D19" s="38">
        <f>SUM((D6*C19))</f>
        <v>6000</v>
      </c>
      <c r="E19" s="8"/>
      <c r="F19" s="44" t="s">
        <v>42</v>
      </c>
      <c r="G19" s="45">
        <f>G8-G12-G13-G14-G15-G16-G17-G18</f>
        <v>113.4860525</v>
      </c>
    </row>
    <row r="20" ht="19.5" customHeight="1" outlineLevel="1">
      <c r="A20" s="46" t="s">
        <v>43</v>
      </c>
      <c r="B20" s="2"/>
      <c r="C20" s="2"/>
      <c r="D20" s="4"/>
      <c r="E20" s="8"/>
      <c r="F20" s="44" t="s">
        <v>44</v>
      </c>
      <c r="G20" s="47">
        <f>G19*12</f>
        <v>1361.83263</v>
      </c>
    </row>
    <row r="21" ht="19.5" customHeight="1" outlineLevel="1">
      <c r="A21" s="48" t="s">
        <v>45</v>
      </c>
      <c r="B21" s="2"/>
      <c r="C21" s="2"/>
      <c r="D21" s="4"/>
      <c r="E21" s="8"/>
      <c r="F21" s="44" t="s">
        <v>46</v>
      </c>
      <c r="G21" s="47">
        <f>SUM(G6-G7)</f>
        <v>75000</v>
      </c>
    </row>
    <row r="22" ht="19.5" customHeight="1" outlineLevel="1">
      <c r="A22" s="49" t="s">
        <v>47</v>
      </c>
      <c r="B22" s="2"/>
      <c r="C22" s="4"/>
      <c r="D22" s="50">
        <f>SUM(D7:D21)-D10</f>
        <v>245513.25</v>
      </c>
      <c r="E22" s="8"/>
      <c r="F22" s="51" t="s">
        <v>48</v>
      </c>
      <c r="G22" s="52">
        <f>((G6-G7)/G6)</f>
        <v>0.25</v>
      </c>
    </row>
    <row r="23" ht="19.5" customHeight="1" outlineLevel="1">
      <c r="A23" s="53" t="s">
        <v>49</v>
      </c>
      <c r="B23" s="54">
        <f>sum(D23/D22)*1</f>
        <v>0.2219299773</v>
      </c>
      <c r="C23" s="55" t="s">
        <v>50</v>
      </c>
      <c r="D23" s="56">
        <f>SUM((D6-D22))</f>
        <v>54486.75</v>
      </c>
      <c r="E23" s="8"/>
      <c r="F23" s="57" t="s">
        <v>51</v>
      </c>
      <c r="G23" s="58"/>
    </row>
    <row r="24" ht="19.5" customHeight="1" outlineLevel="1">
      <c r="A24" s="59" t="s">
        <v>52</v>
      </c>
      <c r="B24" s="2"/>
      <c r="C24" s="2"/>
      <c r="D24" s="4"/>
      <c r="E24" s="8"/>
      <c r="F24" s="57" t="s">
        <v>53</v>
      </c>
      <c r="G24" s="58"/>
    </row>
    <row r="25" ht="19.5" customHeight="1" outlineLevel="1">
      <c r="A25" s="60" t="s">
        <v>54</v>
      </c>
      <c r="B25" s="2"/>
      <c r="C25" s="2"/>
      <c r="D25" s="4"/>
      <c r="E25" s="8"/>
      <c r="F25" s="61" t="s">
        <v>55</v>
      </c>
      <c r="G25" s="58"/>
    </row>
    <row r="26" ht="19.5" customHeight="1" outlineLevel="1">
      <c r="A26" s="62" t="s">
        <v>56</v>
      </c>
      <c r="B26" s="62" t="s">
        <v>57</v>
      </c>
      <c r="C26" s="60" t="s">
        <v>58</v>
      </c>
      <c r="D26" s="63" t="s">
        <v>49</v>
      </c>
      <c r="E26" s="8"/>
      <c r="F26" s="64" t="s">
        <v>59</v>
      </c>
      <c r="G26" s="65">
        <v>10000.0</v>
      </c>
    </row>
    <row r="27" ht="19.5" customHeight="1" outlineLevel="1">
      <c r="A27" s="66" t="s">
        <v>60</v>
      </c>
      <c r="B27" s="67">
        <f>SUM(D12,D14,D15,D16)*2</f>
        <v>6525</v>
      </c>
      <c r="C27" s="68">
        <f>SUM((D23-B27))</f>
        <v>47961.75</v>
      </c>
      <c r="D27" s="69">
        <f>sum(C27/D22)*1</f>
        <v>0.1953530003</v>
      </c>
      <c r="E27" s="8"/>
      <c r="F27" s="64" t="s">
        <v>61</v>
      </c>
      <c r="G27" s="70">
        <f>IF(G26&gt;0, G20/G26, )
</f>
        <v>0.136183263</v>
      </c>
    </row>
    <row r="28" ht="19.5" customHeight="1" outlineLevel="1">
      <c r="A28" s="66" t="s">
        <v>62</v>
      </c>
      <c r="B28" s="67">
        <f>SUM(D12,D14,D15,D16)*3</f>
        <v>9787.5</v>
      </c>
      <c r="C28" s="68">
        <f>SUM((D23-B28))</f>
        <v>44699.25</v>
      </c>
      <c r="D28" s="69">
        <f>sum(C28/D22)*1</f>
        <v>0.1820645118</v>
      </c>
      <c r="E28" s="8"/>
      <c r="F28" s="64" t="s">
        <v>63</v>
      </c>
      <c r="G28" s="71">
        <f>IF(G26&gt;0, G21/G26, )
</f>
        <v>7.5</v>
      </c>
    </row>
    <row r="29" ht="19.5" customHeight="1" outlineLevel="1">
      <c r="A29" s="66" t="s">
        <v>64</v>
      </c>
      <c r="B29" s="67">
        <f>SUM(D12,D14,D15,D16)*4</f>
        <v>13050</v>
      </c>
      <c r="C29" s="68">
        <f>SUM((D23-B29))</f>
        <v>41436.75</v>
      </c>
      <c r="D29" s="69">
        <f>sum(C29/D22)*1</f>
        <v>0.1687760233</v>
      </c>
      <c r="E29" s="8"/>
      <c r="F29" s="64" t="s">
        <v>65</v>
      </c>
      <c r="G29" s="72">
        <f t="array" ref="G29">SUM(PPMT(G9/G11, ROW(INDIRECT("1:12")), G10*G11, -G7))</f>
        <v>184.4306142</v>
      </c>
    </row>
    <row r="30" ht="19.5" customHeight="1" outlineLevel="1">
      <c r="A30" s="66" t="s">
        <v>66</v>
      </c>
      <c r="B30" s="67">
        <f>SUM(D12,D14,D15,D16)*5</f>
        <v>16312.5</v>
      </c>
      <c r="C30" s="68">
        <f>SUM((D23-B30))</f>
        <v>38174.25</v>
      </c>
      <c r="D30" s="69">
        <f>sum(C30/D22)*1</f>
        <v>0.1554875348</v>
      </c>
      <c r="E30" s="8"/>
      <c r="F30" s="64" t="s">
        <v>67</v>
      </c>
      <c r="G30" s="71">
        <f t="array" ref="G30">IF(G26&gt;0, (G20 + SUM(PPMT(G9/G11, ROW(INDIRECT("1:12")), G10*G11, -G7)))/G26, )</f>
        <v>0.1546263244</v>
      </c>
    </row>
    <row r="31" ht="30.0" customHeight="1" outlineLevel="1">
      <c r="A31" s="73" t="s">
        <v>68</v>
      </c>
      <c r="B31" s="67">
        <f>SUM(D12,D14,D15,D16)*6</f>
        <v>19575</v>
      </c>
      <c r="C31" s="74">
        <f>SUM((D23-B31))</f>
        <v>34911.75</v>
      </c>
      <c r="D31" s="69">
        <f>sum(C31/D22)*1</f>
        <v>0.1421990463</v>
      </c>
      <c r="E31" s="8"/>
      <c r="F31" s="75"/>
      <c r="G31" s="76"/>
    </row>
    <row r="32" ht="25.5" customHeight="1" outlineLevel="1">
      <c r="A32" s="73" t="s">
        <v>69</v>
      </c>
      <c r="B32" s="67">
        <f>SUM(D12,D14,D15,D16)*7</f>
        <v>22837.5</v>
      </c>
      <c r="C32" s="74">
        <f>SUM((D23-B32))</f>
        <v>31649.25</v>
      </c>
      <c r="D32" s="69">
        <f>sum(C32/D22)*1</f>
        <v>0.1289105578</v>
      </c>
      <c r="E32" s="8"/>
      <c r="F32" s="75"/>
      <c r="G32" s="76"/>
    </row>
    <row r="33" ht="19.5" customHeight="1" outlineLevel="1">
      <c r="A33" s="66" t="s">
        <v>70</v>
      </c>
      <c r="B33" s="67">
        <f>SUM(D12,D14,D15,D16)*8</f>
        <v>26100</v>
      </c>
      <c r="C33" s="74">
        <f>SUM((D23-B33))</f>
        <v>28386.75</v>
      </c>
      <c r="D33" s="69">
        <f>sum(C33/D22)*1</f>
        <v>0.1156220693</v>
      </c>
      <c r="E33" s="8"/>
      <c r="F33" s="75"/>
      <c r="G33" s="76"/>
    </row>
    <row r="34" ht="19.5" customHeight="1" outlineLevel="1">
      <c r="A34" s="66" t="s">
        <v>71</v>
      </c>
      <c r="B34" s="67">
        <f>SUM(D12,D14,D15,D16)*9</f>
        <v>29362.5</v>
      </c>
      <c r="C34" s="68">
        <f>SUM((D23-B34))</f>
        <v>25124.25</v>
      </c>
      <c r="D34" s="69">
        <f>sum(C34/D22)*1</f>
        <v>0.1023335808</v>
      </c>
      <c r="E34" s="8"/>
      <c r="F34" s="76"/>
      <c r="G34" s="76"/>
    </row>
    <row r="35" ht="19.5" customHeight="1" outlineLevel="1">
      <c r="A35" s="66" t="s">
        <v>72</v>
      </c>
      <c r="B35" s="67">
        <f>SUM(D12,D14,D15,D16)*10</f>
        <v>32625</v>
      </c>
      <c r="C35" s="68">
        <f>SUM((D23-B35))</f>
        <v>21861.75</v>
      </c>
      <c r="D35" s="69">
        <f>sum(C35/D22)*1</f>
        <v>0.08904509227</v>
      </c>
      <c r="E35" s="8"/>
      <c r="F35" s="75"/>
      <c r="G35" s="76"/>
    </row>
    <row r="36" ht="19.5" customHeight="1" outlineLevel="1">
      <c r="A36" s="66" t="s">
        <v>73</v>
      </c>
      <c r="B36" s="67">
        <f>SUM(D12,D14,D15,D16)*11</f>
        <v>35887.5</v>
      </c>
      <c r="C36" s="68">
        <f>SUM((D23-B36))</f>
        <v>18599.25</v>
      </c>
      <c r="D36" s="69">
        <f>sum(C36/D22)*1</f>
        <v>0.07575660377</v>
      </c>
      <c r="E36" s="8"/>
      <c r="F36" s="76"/>
      <c r="G36" s="76"/>
    </row>
    <row r="37" ht="19.5" customHeight="1" outlineLevel="1">
      <c r="A37" s="66" t="s">
        <v>74</v>
      </c>
      <c r="B37" s="67">
        <f>SUM(D12,D14,D15,D16)*12</f>
        <v>39150</v>
      </c>
      <c r="C37" s="68">
        <f>SUM((D23-B37))</f>
        <v>15336.75</v>
      </c>
      <c r="D37" s="69">
        <f>sum(C37/D22)*1</f>
        <v>0.06246811526</v>
      </c>
      <c r="E37" s="8"/>
      <c r="F37" s="76"/>
      <c r="G37" s="76"/>
    </row>
    <row r="38" ht="19.5" customHeight="1" outlineLevel="1">
      <c r="A38" s="77" t="s">
        <v>75</v>
      </c>
      <c r="B38" s="2"/>
      <c r="C38" s="2"/>
      <c r="D38" s="4"/>
      <c r="E38" s="8"/>
      <c r="F38" s="75"/>
      <c r="G38" s="76"/>
    </row>
    <row r="39" ht="19.5" customHeight="1" outlineLevel="1">
      <c r="A39" s="78" t="s">
        <v>76</v>
      </c>
      <c r="B39" s="2"/>
      <c r="C39" s="79">
        <f>sum(C37)</f>
        <v>15336.75</v>
      </c>
      <c r="D39" s="4"/>
      <c r="E39" s="8"/>
      <c r="F39" s="76"/>
      <c r="G39" s="76"/>
    </row>
    <row r="40" ht="19.5" customHeight="1" outlineLevel="1">
      <c r="A40" s="78" t="s">
        <v>77</v>
      </c>
      <c r="B40" s="4"/>
      <c r="C40" s="80">
        <f>D31</f>
        <v>0.1421990463</v>
      </c>
      <c r="D40" s="4"/>
      <c r="E40" s="8"/>
      <c r="F40" s="76"/>
      <c r="G40" s="76"/>
    </row>
    <row r="41" ht="19.5" customHeight="1" outlineLevel="1">
      <c r="A41" s="78" t="s">
        <v>78</v>
      </c>
      <c r="B41" s="4"/>
      <c r="C41" s="80">
        <f>C31/D8</f>
        <v>0.46549</v>
      </c>
      <c r="D41" s="4"/>
      <c r="E41" s="81"/>
      <c r="F41" s="75"/>
      <c r="G41" s="76"/>
    </row>
  </sheetData>
  <mergeCells count="25">
    <mergeCell ref="A11:C11"/>
    <mergeCell ref="A20:D20"/>
    <mergeCell ref="A1:D1"/>
    <mergeCell ref="E1:G1"/>
    <mergeCell ref="A2:D2"/>
    <mergeCell ref="E2:E41"/>
    <mergeCell ref="F2:G2"/>
    <mergeCell ref="B3:D3"/>
    <mergeCell ref="B4:D4"/>
    <mergeCell ref="B9:C9"/>
    <mergeCell ref="B10:C10"/>
    <mergeCell ref="A21:D21"/>
    <mergeCell ref="A22:C22"/>
    <mergeCell ref="F23:G23"/>
    <mergeCell ref="A24:D24"/>
    <mergeCell ref="F24:G24"/>
    <mergeCell ref="A25:D25"/>
    <mergeCell ref="F25:G25"/>
    <mergeCell ref="A38:D38"/>
    <mergeCell ref="A39:B39"/>
    <mergeCell ref="C39:D39"/>
    <mergeCell ref="A40:B40"/>
    <mergeCell ref="C40:D40"/>
    <mergeCell ref="A41:B41"/>
    <mergeCell ref="C41:D41"/>
  </mergeCells>
  <conditionalFormatting sqref="G19">
    <cfRule type="cellIs" dxfId="0" priority="1" operator="greaterThan">
      <formula>250</formula>
    </cfRule>
  </conditionalFormatting>
  <conditionalFormatting sqref="G19">
    <cfRule type="cellIs" dxfId="1" priority="2" operator="lessThan">
      <formula>250</formula>
    </cfRule>
  </conditionalFormatting>
  <conditionalFormatting sqref="G22">
    <cfRule type="cellIs" dxfId="0" priority="3" operator="greaterThanOrEqual">
      <formula>"20%"</formula>
    </cfRule>
  </conditionalFormatting>
  <conditionalFormatting sqref="G22">
    <cfRule type="cellIs" dxfId="1" priority="4" operator="lessThan">
      <formula>"20%"</formula>
    </cfRule>
  </conditionalFormatting>
  <conditionalFormatting sqref="C40">
    <cfRule type="cellIs" dxfId="0" priority="5" operator="greaterThan">
      <formula>"15%"</formula>
    </cfRule>
  </conditionalFormatting>
  <conditionalFormatting sqref="C40">
    <cfRule type="cellIs" dxfId="2" priority="6" operator="lessThan">
      <formula>"15%"</formula>
    </cfRule>
  </conditionalFormatting>
  <conditionalFormatting sqref="C41:D41">
    <cfRule type="cellIs" dxfId="3" priority="7" operator="equal">
      <formula>"50%"</formula>
    </cfRule>
  </conditionalFormatting>
  <conditionalFormatting sqref="C41:D41">
    <cfRule type="cellIs" dxfId="2" priority="8" operator="lessThan">
      <formula>"50%"</formula>
    </cfRule>
  </conditionalFormatting>
  <conditionalFormatting sqref="D11">
    <cfRule type="cellIs" dxfId="2" priority="9" operator="greaterThan">
      <formula>"75%"</formula>
    </cfRule>
  </conditionalFormatting>
  <conditionalFormatting sqref="D11">
    <cfRule type="cellIs" dxfId="0" priority="10" operator="lessThan">
      <formula>"70%"</formula>
    </cfRule>
  </conditionalFormatting>
  <conditionalFormatting sqref="D11">
    <cfRule type="cellIs" dxfId="4" priority="11" operator="lessThan">
      <formula>"75%"</formula>
    </cfRule>
  </conditionalFormatting>
  <conditionalFormatting sqref="C27:C37">
    <cfRule type="cellIs" dxfId="1" priority="12" operator="lessThan">
      <formula>"$0"</formula>
    </cfRule>
  </conditionalFormatting>
  <conditionalFormatting sqref="G20">
    <cfRule type="cellIs" dxfId="3" priority="13" operator="greaterThanOrEqual">
      <formula>3000</formula>
    </cfRule>
  </conditionalFormatting>
  <conditionalFormatting sqref="G20">
    <cfRule type="cellIs" dxfId="1" priority="14" operator="lessThan">
      <formula>3000</formula>
    </cfRule>
  </conditionalFormatting>
  <conditionalFormatting sqref="C41:D41">
    <cfRule type="cellIs" dxfId="0" priority="15" operator="greaterThan">
      <formula>"50%"</formula>
    </cfRule>
  </conditionalFormatting>
  <conditionalFormatting sqref="C39:D39">
    <cfRule type="cellIs" dxfId="0" priority="16" operator="greaterThan">
      <formula>"$0"</formula>
    </cfRule>
  </conditionalFormatting>
  <conditionalFormatting sqref="C39:D39">
    <cfRule type="cellIs" dxfId="2" priority="17" operator="lessThan">
      <formula>"$0"</formula>
    </cfRule>
  </conditionalFormatting>
  <printOptions/>
  <pageMargins bottom="1.0" footer="0.0" header="0.0" left="1.0" right="1.0" top="1.0"/>
  <pageSetup orientation="portrait"/>
  <headerFooter>
    <oddFooter>&amp;C000000&amp;P</oddFooter>
  </headerFooter>
  <drawing r:id="rId1"/>
</worksheet>
</file>